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/>
  <bookViews>
    <workbookView xWindow="30" yWindow="-15" windowWidth="19605" windowHeight="14370"/>
  </bookViews>
  <sheets>
    <sheet name="UMF" sheetId="7" r:id="rId1"/>
  </sheets>
  <calcPr calcId="145621"/>
</workbook>
</file>

<file path=xl/calcChain.xml><?xml version="1.0" encoding="utf-8"?>
<calcChain xmlns="http://schemas.openxmlformats.org/spreadsheetml/2006/main">
  <c r="P15" i="7" l="1"/>
  <c r="C15" i="7" s="1"/>
  <c r="P14" i="7"/>
  <c r="C14" i="7" s="1"/>
  <c r="K14" i="7" s="1"/>
  <c r="J12" i="7"/>
  <c r="J13" i="7"/>
  <c r="J14" i="7"/>
  <c r="J15" i="7"/>
  <c r="J11" i="7"/>
  <c r="J16" i="7"/>
  <c r="G12" i="7"/>
  <c r="G13" i="7"/>
  <c r="G14" i="7"/>
  <c r="G11" i="7"/>
  <c r="F12" i="7"/>
  <c r="F13" i="7"/>
  <c r="F14" i="7"/>
  <c r="F11" i="7"/>
  <c r="F16" i="7" s="1"/>
  <c r="D12" i="7"/>
  <c r="D13" i="7"/>
  <c r="D14" i="7"/>
  <c r="D15" i="7"/>
  <c r="D11" i="7"/>
  <c r="P13" i="7"/>
  <c r="C13" i="7" s="1"/>
  <c r="K13" i="7" s="1"/>
  <c r="P12" i="7"/>
  <c r="C12" i="7" s="1"/>
  <c r="K12" i="7" s="1"/>
  <c r="P11" i="7"/>
  <c r="C11" i="7" s="1"/>
  <c r="K11" i="7" s="1"/>
  <c r="G7" i="7"/>
  <c r="H7" i="7"/>
  <c r="J7" i="7" s="1"/>
  <c r="K7" i="7" s="1"/>
  <c r="E16" i="7"/>
  <c r="G16" i="7"/>
  <c r="H16" i="7"/>
  <c r="I16" i="7"/>
  <c r="Q16" i="7"/>
  <c r="D16" i="7"/>
  <c r="M13" i="7" l="1"/>
  <c r="O13" i="7" s="1"/>
  <c r="M14" i="7"/>
  <c r="O14" i="7" s="1"/>
  <c r="L14" i="7"/>
  <c r="N14" i="7" s="1"/>
  <c r="L12" i="7"/>
  <c r="N12" i="7" s="1"/>
  <c r="M12" i="7"/>
  <c r="O12" i="7" s="1"/>
  <c r="M11" i="7"/>
  <c r="O11" i="7" s="1"/>
  <c r="L11" i="7"/>
  <c r="L13" i="7"/>
  <c r="N13" i="7" s="1"/>
  <c r="K15" i="7"/>
  <c r="C16" i="7"/>
  <c r="L16" i="7" l="1"/>
  <c r="N11" i="7"/>
  <c r="N16" i="7" s="1"/>
  <c r="O16" i="7"/>
  <c r="L15" i="7"/>
  <c r="M15" i="7"/>
  <c r="M16" i="7" s="1"/>
  <c r="K16" i="7"/>
</calcChain>
</file>

<file path=xl/sharedStrings.xml><?xml version="1.0" encoding="utf-8"?>
<sst xmlns="http://schemas.openxmlformats.org/spreadsheetml/2006/main" count="43" uniqueCount="42">
  <si>
    <t>Gesamtpreis</t>
  </si>
  <si>
    <t>geschätzter
Wiederverkaufs-
wert</t>
  </si>
  <si>
    <t>Rate rechnerisch
nach Wiederverk.</t>
  </si>
  <si>
    <t>Steuer</t>
  </si>
  <si>
    <t>Reifen - keine 
Je Reifentyp KM
20.000 Laufleist.</t>
  </si>
  <si>
    <t>Betriebsjahr</t>
  </si>
  <si>
    <t>Versicherung</t>
  </si>
  <si>
    <r>
      <t xml:space="preserve">Gesamtkosten
inkl. Finanzierung
</t>
    </r>
    <r>
      <rPr>
        <b/>
        <sz val="9"/>
        <rFont val="Arial"/>
        <family val="2"/>
      </rPr>
      <t>ohne Wiederverkauf</t>
    </r>
    <r>
      <rPr>
        <sz val="10"/>
        <rFont val="Arial"/>
      </rPr>
      <t xml:space="preserve">
Jahreswert </t>
    </r>
  </si>
  <si>
    <r>
      <t xml:space="preserve">Gesamtkosten
inkl. Finanzierung
</t>
    </r>
    <r>
      <rPr>
        <b/>
        <sz val="9"/>
        <rFont val="Arial"/>
        <family val="2"/>
      </rPr>
      <t>mit Wiederverkauf</t>
    </r>
    <r>
      <rPr>
        <sz val="10"/>
        <rFont val="Arial"/>
      </rPr>
      <t xml:space="preserve">
Jahreswert </t>
    </r>
  </si>
  <si>
    <t xml:space="preserve">Service &amp; 
UVV </t>
  </si>
  <si>
    <t>Rate rechnerisch
inkl Schlussrate</t>
  </si>
  <si>
    <t>Verbrauch 
á 100KM</t>
  </si>
  <si>
    <t>Gesamtkosten 
Laufzeit nach
Wiederverkauf</t>
  </si>
  <si>
    <t>Nutzungsmonate
im Betriebsjahr</t>
  </si>
  <si>
    <t xml:space="preserve">Betriebskosten
gesamt </t>
  </si>
  <si>
    <t>Betriebsjahre
gesamt</t>
  </si>
  <si>
    <t>Gesamtkosten 
je Kilometer
ohne Wiederverk.</t>
  </si>
  <si>
    <t>Gesamtkosten 
je Kilometer
mit Wiederverk.</t>
  </si>
  <si>
    <t>Dieselpreis
netto</t>
  </si>
  <si>
    <t>Kalkulierte
Laufzeit
Monate</t>
  </si>
  <si>
    <t>Kalkulierte
Schlussrate/
Rückgabekost.</t>
  </si>
  <si>
    <t>Leasing 
Gesamtkosten 
Laufzeit</t>
  </si>
  <si>
    <t>Ø Treibstoff-
preise Brutto</t>
  </si>
  <si>
    <t>Treibstoffkosten
(pro Betriebsjahr)</t>
  </si>
  <si>
    <t xml:space="preserve">TÜV &amp; AU inkl.
Vorführung </t>
  </si>
  <si>
    <t>Kosten p.a. ausserhalb Full Service</t>
  </si>
  <si>
    <t>Fixe Rahmenwerte:</t>
  </si>
  <si>
    <t>KFZ Steuer</t>
  </si>
  <si>
    <t>Reifenkosten</t>
  </si>
  <si>
    <t>Servicerate</t>
  </si>
  <si>
    <t xml:space="preserve">Beschriftung +
Pflegekosten </t>
  </si>
  <si>
    <t>Rate/
Abschreibung 
monatlich</t>
  </si>
  <si>
    <t>Alle Werte 
netto</t>
  </si>
  <si>
    <t xml:space="preserve">Betrachtet wird ein Zeitraum von 36 Monaten. Der Gesamtpreis fliesst nicht
in die Berechnung ein und die Schlussrate(Sale &amp; Lease Back) oder die einkalkulierten Kosten bei Rückgabe(SmartRepair, Entfolierung usw.) werden rechnerisch im Verhältnis  Monate zur tatsächlichen Laufzeit angepasst. </t>
  </si>
  <si>
    <t>Jahreslaufleistung
1. Jahr</t>
  </si>
  <si>
    <t>Jahreslaufleistung
2. Jahr</t>
  </si>
  <si>
    <t>Jahreslaufleistung
3. Jahr</t>
  </si>
  <si>
    <t>Jahreslaufleistung
4. Jahr</t>
  </si>
  <si>
    <t>Jahreslaufleistung
5. Jahr</t>
  </si>
  <si>
    <t xml:space="preserve">Service und UVV Kosten werden über die Full Service Leasing Pauschale (51,28) multipliziert mit der jährlichen Nutzungsdauer berechnet. </t>
  </si>
  <si>
    <t>Autor: Arndt Kolk, Kontakt: Clemens Velten velten@fuhrpark.de</t>
  </si>
  <si>
    <t>Ausgabe: 04/16, S.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</si>
</sst>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1]_-;\-* #,##0.00\ [$€-1]_-;_-* &quot;-&quot;??\ [$€-1]_-"/>
    <numFmt numFmtId="165" formatCode="#,##0.00_ ;[Red]\-#,##0.00\ "/>
  </numFmts>
  <fonts count="11">
    <font>
      <sz val="10"/>
      <name val="Arial"/>
    </font>
    <font>
      <sz val="10"/>
      <name val="Arial"/>
    </font>
    <font>
      <sz val="8"/>
      <name val="Arial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2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4" fontId="0" fillId="0" borderId="0" xfId="0" applyNumberFormat="1"/>
    <xf numFmtId="4" fontId="0" fillId="0" borderId="0" xfId="0" applyNumberFormat="1" applyBorder="1"/>
    <xf numFmtId="4" fontId="5" fillId="0" borderId="1" xfId="0" applyNumberFormat="1" applyFont="1" applyBorder="1"/>
    <xf numFmtId="4" fontId="5" fillId="2" borderId="1" xfId="0" applyNumberFormat="1" applyFont="1" applyFill="1" applyBorder="1"/>
    <xf numFmtId="0" fontId="0" fillId="0" borderId="0" xfId="0" applyAlignment="1">
      <alignment horizontal="center"/>
    </xf>
    <xf numFmtId="4" fontId="5" fillId="0" borderId="2" xfId="0" applyNumberFormat="1" applyFont="1" applyBorder="1"/>
    <xf numFmtId="4" fontId="5" fillId="0" borderId="4" xfId="0" applyNumberFormat="1" applyFont="1" applyBorder="1"/>
    <xf numFmtId="4" fontId="5" fillId="2" borderId="4" xfId="0" applyNumberFormat="1" applyFont="1" applyFill="1" applyBorder="1"/>
    <xf numFmtId="4" fontId="5" fillId="0" borderId="5" xfId="0" applyNumberFormat="1" applyFont="1" applyBorder="1"/>
    <xf numFmtId="4" fontId="5" fillId="0" borderId="6" xfId="0" applyNumberFormat="1" applyFont="1" applyBorder="1"/>
    <xf numFmtId="4" fontId="5" fillId="0" borderId="7" xfId="0" applyNumberFormat="1" applyFont="1" applyBorder="1"/>
    <xf numFmtId="3" fontId="5" fillId="0" borderId="8" xfId="0" applyNumberFormat="1" applyFont="1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4" fontId="0" fillId="0" borderId="13" xfId="0" applyNumberFormat="1" applyBorder="1" applyAlignment="1">
      <alignment horizontal="center" wrapText="1"/>
    </xf>
    <xf numFmtId="3" fontId="5" fillId="2" borderId="15" xfId="0" applyNumberFormat="1" applyFont="1" applyFill="1" applyBorder="1"/>
    <xf numFmtId="3" fontId="5" fillId="2" borderId="16" xfId="0" applyNumberFormat="1" applyFont="1" applyFill="1" applyBorder="1"/>
    <xf numFmtId="0" fontId="0" fillId="0" borderId="18" xfId="0" applyBorder="1" applyAlignment="1">
      <alignment wrapText="1"/>
    </xf>
    <xf numFmtId="4" fontId="5" fillId="2" borderId="19" xfId="0" applyNumberFormat="1" applyFont="1" applyFill="1" applyBorder="1"/>
    <xf numFmtId="3" fontId="5" fillId="2" borderId="19" xfId="0" applyNumberFormat="1" applyFont="1" applyFill="1" applyBorder="1"/>
    <xf numFmtId="4" fontId="5" fillId="0" borderId="19" xfId="0" applyNumberFormat="1" applyFont="1" applyBorder="1"/>
    <xf numFmtId="4" fontId="0" fillId="0" borderId="20" xfId="0" applyNumberFormat="1" applyBorder="1" applyAlignment="1">
      <alignment horizontal="center" wrapText="1"/>
    </xf>
    <xf numFmtId="4" fontId="6" fillId="0" borderId="14" xfId="0" applyNumberFormat="1" applyFont="1" applyBorder="1"/>
    <xf numFmtId="4" fontId="6" fillId="0" borderId="15" xfId="0" applyNumberFormat="1" applyFont="1" applyBorder="1"/>
    <xf numFmtId="0" fontId="0" fillId="0" borderId="0" xfId="0" applyBorder="1"/>
    <xf numFmtId="0" fontId="0" fillId="0" borderId="23" xfId="0" applyBorder="1"/>
    <xf numFmtId="3" fontId="5" fillId="2" borderId="3" xfId="0" applyNumberFormat="1" applyFont="1" applyFill="1" applyBorder="1"/>
    <xf numFmtId="0" fontId="0" fillId="0" borderId="20" xfId="0" applyBorder="1" applyAlignment="1">
      <alignment horizontal="center" wrapText="1"/>
    </xf>
    <xf numFmtId="0" fontId="0" fillId="0" borderId="27" xfId="0" applyBorder="1" applyAlignment="1">
      <alignment wrapText="1"/>
    </xf>
    <xf numFmtId="4" fontId="8" fillId="0" borderId="0" xfId="0" applyNumberFormat="1" applyFont="1"/>
    <xf numFmtId="165" fontId="0" fillId="0" borderId="28" xfId="0" applyNumberFormat="1" applyBorder="1" applyAlignment="1">
      <alignment wrapText="1"/>
    </xf>
    <xf numFmtId="4" fontId="5" fillId="3" borderId="1" xfId="0" applyNumberFormat="1" applyFont="1" applyFill="1" applyBorder="1"/>
    <xf numFmtId="4" fontId="5" fillId="3" borderId="4" xfId="0" applyNumberFormat="1" applyFont="1" applyFill="1" applyBorder="1"/>
    <xf numFmtId="4" fontId="5" fillId="3" borderId="26" xfId="0" applyNumberFormat="1" applyFont="1" applyFill="1" applyBorder="1"/>
    <xf numFmtId="165" fontId="9" fillId="4" borderId="26" xfId="0" applyNumberFormat="1" applyFont="1" applyFill="1" applyBorder="1" applyAlignment="1">
      <alignment horizontal="right"/>
    </xf>
    <xf numFmtId="165" fontId="9" fillId="4" borderId="26" xfId="0" applyNumberFormat="1" applyFont="1" applyFill="1" applyBorder="1"/>
    <xf numFmtId="1" fontId="9" fillId="0" borderId="14" xfId="0" applyNumberFormat="1" applyFont="1" applyBorder="1" applyAlignment="1">
      <alignment horizontal="right"/>
    </xf>
    <xf numFmtId="0" fontId="9" fillId="0" borderId="14" xfId="0" applyFont="1" applyBorder="1"/>
    <xf numFmtId="165" fontId="9" fillId="4" borderId="29" xfId="0" applyNumberFormat="1" applyFont="1" applyFill="1" applyBorder="1"/>
    <xf numFmtId="0" fontId="8" fillId="0" borderId="10" xfId="0" applyFont="1" applyBorder="1" applyAlignment="1">
      <alignment horizontal="center" wrapText="1"/>
    </xf>
    <xf numFmtId="0" fontId="0" fillId="5" borderId="11" xfId="0" applyFill="1" applyBorder="1" applyAlignment="1">
      <alignment horizontal="center"/>
    </xf>
    <xf numFmtId="0" fontId="8" fillId="5" borderId="11" xfId="0" applyFont="1" applyFill="1" applyBorder="1" applyAlignment="1">
      <alignment horizontal="center" wrapText="1"/>
    </xf>
    <xf numFmtId="0" fontId="0" fillId="5" borderId="11" xfId="0" applyFill="1" applyBorder="1" applyAlignment="1">
      <alignment horizontal="center" wrapText="1"/>
    </xf>
    <xf numFmtId="0" fontId="0" fillId="5" borderId="17" xfId="0" applyFill="1" applyBorder="1" applyAlignment="1">
      <alignment horizontal="center" wrapText="1"/>
    </xf>
    <xf numFmtId="0" fontId="8" fillId="6" borderId="20" xfId="0" applyFont="1" applyFill="1" applyBorder="1" applyAlignment="1">
      <alignment horizontal="center" wrapText="1"/>
    </xf>
    <xf numFmtId="0" fontId="8" fillId="6" borderId="11" xfId="0" applyFont="1" applyFill="1" applyBorder="1" applyAlignment="1">
      <alignment horizontal="center" wrapText="1"/>
    </xf>
    <xf numFmtId="4" fontId="0" fillId="6" borderId="11" xfId="0" applyNumberFormat="1" applyFill="1" applyBorder="1" applyAlignment="1">
      <alignment horizontal="center" wrapText="1"/>
    </xf>
    <xf numFmtId="4" fontId="0" fillId="6" borderId="11" xfId="0" applyNumberFormat="1" applyFill="1" applyBorder="1" applyAlignment="1">
      <alignment horizontal="center"/>
    </xf>
    <xf numFmtId="4" fontId="8" fillId="6" borderId="11" xfId="0" applyNumberFormat="1" applyFont="1" applyFill="1" applyBorder="1" applyAlignment="1">
      <alignment horizontal="center" wrapText="1"/>
    </xf>
    <xf numFmtId="4" fontId="0" fillId="7" borderId="11" xfId="0" applyNumberFormat="1" applyFill="1" applyBorder="1" applyAlignment="1">
      <alignment horizontal="center" wrapText="1"/>
    </xf>
    <xf numFmtId="4" fontId="0" fillId="7" borderId="12" xfId="0" applyNumberFormat="1" applyFill="1" applyBorder="1" applyAlignment="1">
      <alignment horizontal="center" wrapText="1"/>
    </xf>
    <xf numFmtId="4" fontId="6" fillId="7" borderId="10" xfId="0" applyNumberFormat="1" applyFont="1" applyFill="1" applyBorder="1" applyAlignment="1">
      <alignment horizontal="center" wrapText="1"/>
    </xf>
    <xf numFmtId="4" fontId="6" fillId="7" borderId="13" xfId="0" applyNumberFormat="1" applyFont="1" applyFill="1" applyBorder="1" applyAlignment="1">
      <alignment horizontal="center" wrapText="1"/>
    </xf>
    <xf numFmtId="4" fontId="6" fillId="0" borderId="25" xfId="0" applyNumberFormat="1" applyFont="1" applyBorder="1"/>
    <xf numFmtId="4" fontId="5" fillId="0" borderId="30" xfId="0" applyNumberFormat="1" applyFont="1" applyBorder="1"/>
    <xf numFmtId="4" fontId="6" fillId="0" borderId="22" xfId="0" applyNumberFormat="1" applyFont="1" applyBorder="1"/>
    <xf numFmtId="4" fontId="0" fillId="4" borderId="26" xfId="0" applyNumberFormat="1" applyFill="1" applyBorder="1"/>
    <xf numFmtId="4" fontId="8" fillId="0" borderId="26" xfId="0" applyNumberFormat="1" applyFont="1" applyBorder="1"/>
    <xf numFmtId="4" fontId="9" fillId="0" borderId="2" xfId="0" applyNumberFormat="1" applyFont="1" applyBorder="1"/>
    <xf numFmtId="4" fontId="0" fillId="0" borderId="26" xfId="0" applyNumberFormat="1" applyBorder="1"/>
    <xf numFmtId="4" fontId="8" fillId="0" borderId="1" xfId="0" applyNumberFormat="1" applyFont="1" applyBorder="1"/>
    <xf numFmtId="4" fontId="0" fillId="4" borderId="1" xfId="0" applyNumberFormat="1" applyFill="1" applyBorder="1"/>
    <xf numFmtId="4" fontId="0" fillId="0" borderId="31" xfId="0" applyNumberFormat="1" applyBorder="1"/>
    <xf numFmtId="4" fontId="0" fillId="0" borderId="32" xfId="0" applyNumberFormat="1" applyBorder="1"/>
    <xf numFmtId="3" fontId="0" fillId="4" borderId="21" xfId="0" applyNumberFormat="1" applyFill="1" applyBorder="1"/>
    <xf numFmtId="4" fontId="8" fillId="0" borderId="1" xfId="0" applyNumberFormat="1" applyFont="1" applyBorder="1" applyAlignment="1">
      <alignment wrapText="1"/>
    </xf>
    <xf numFmtId="0" fontId="9" fillId="0" borderId="18" xfId="0" applyFont="1" applyBorder="1"/>
    <xf numFmtId="0" fontId="8" fillId="5" borderId="17" xfId="0" applyFont="1" applyFill="1" applyBorder="1" applyAlignment="1">
      <alignment horizontal="center" wrapText="1"/>
    </xf>
    <xf numFmtId="0" fontId="8" fillId="5" borderId="13" xfId="0" applyFont="1" applyFill="1" applyBorder="1" applyAlignment="1">
      <alignment horizontal="center" wrapText="1"/>
    </xf>
    <xf numFmtId="3" fontId="5" fillId="2" borderId="33" xfId="0" applyNumberFormat="1" applyFont="1" applyFill="1" applyBorder="1"/>
    <xf numFmtId="4" fontId="5" fillId="2" borderId="3" xfId="0" applyNumberFormat="1" applyFont="1" applyFill="1" applyBorder="1"/>
    <xf numFmtId="0" fontId="4" fillId="0" borderId="25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0" fillId="0" borderId="34" xfId="0" applyBorder="1"/>
    <xf numFmtId="0" fontId="4" fillId="8" borderId="25" xfId="0" applyFont="1" applyFill="1" applyBorder="1" applyAlignment="1">
      <alignment horizontal="left" vertical="center"/>
    </xf>
    <xf numFmtId="0" fontId="7" fillId="8" borderId="24" xfId="0" applyFont="1" applyFill="1" applyBorder="1" applyAlignment="1">
      <alignment horizontal="left" vertical="center"/>
    </xf>
    <xf numFmtId="0" fontId="7" fillId="8" borderId="8" xfId="0" applyFont="1" applyFill="1" applyBorder="1" applyAlignment="1">
      <alignment horizontal="left" vertical="center"/>
    </xf>
    <xf numFmtId="0" fontId="10" fillId="9" borderId="34" xfId="0" applyFont="1" applyFill="1" applyBorder="1" applyAlignment="1">
      <alignment horizontal="center" vertical="center"/>
    </xf>
    <xf numFmtId="0" fontId="0" fillId="9" borderId="34" xfId="0" applyFill="1" applyBorder="1" applyAlignment="1">
      <alignment horizontal="center" vertical="center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5</xdr:col>
      <xdr:colOff>402958</xdr:colOff>
      <xdr:row>0</xdr:row>
      <xdr:rowOff>1609725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94" b="29293"/>
        <a:stretch/>
      </xdr:blipFill>
      <xdr:spPr>
        <a:xfrm>
          <a:off x="76200" y="0"/>
          <a:ext cx="4898758" cy="1609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zoomScaleNormal="100" workbookViewId="0">
      <selection activeCell="H1" sqref="H1:Q1"/>
    </sheetView>
  </sheetViews>
  <sheetFormatPr baseColWidth="10" defaultRowHeight="12.75"/>
  <cols>
    <col min="1" max="2" width="13.5703125" customWidth="1"/>
    <col min="3" max="3" width="15" bestFit="1" customWidth="1"/>
    <col min="4" max="4" width="13.140625" customWidth="1"/>
    <col min="5" max="5" width="13.28515625" customWidth="1"/>
    <col min="6" max="6" width="12.5703125" customWidth="1"/>
    <col min="7" max="7" width="15" bestFit="1" customWidth="1"/>
    <col min="8" max="8" width="12.85546875" customWidth="1"/>
    <col min="9" max="9" width="13.85546875" customWidth="1"/>
    <col min="10" max="10" width="14" customWidth="1"/>
    <col min="11" max="11" width="15.42578125" customWidth="1"/>
    <col min="12" max="13" width="17.5703125" customWidth="1"/>
    <col min="14" max="14" width="19.42578125" customWidth="1"/>
    <col min="15" max="15" width="16.85546875" customWidth="1"/>
    <col min="16" max="16" width="15.7109375" customWidth="1"/>
    <col min="17" max="17" width="17.28515625" customWidth="1"/>
  </cols>
  <sheetData>
    <row r="1" spans="1:18" ht="130.5" customHeight="1" thickBot="1">
      <c r="A1" s="75"/>
      <c r="B1" s="75"/>
      <c r="C1" s="75"/>
      <c r="D1" s="75"/>
      <c r="E1" s="75"/>
      <c r="F1" s="75"/>
      <c r="H1" s="79" t="s">
        <v>41</v>
      </c>
      <c r="I1" s="80"/>
      <c r="J1" s="80"/>
      <c r="K1" s="80"/>
      <c r="L1" s="80"/>
      <c r="M1" s="80"/>
      <c r="N1" s="80"/>
      <c r="O1" s="80"/>
      <c r="P1" s="80"/>
      <c r="Q1" s="80"/>
    </row>
    <row r="2" spans="1:18" ht="29.25" customHeight="1" thickBot="1">
      <c r="A2" s="76" t="s">
        <v>40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8"/>
    </row>
    <row r="3" spans="1:18" ht="13.5" thickBot="1"/>
    <row r="4" spans="1:18" ht="37.5" customHeight="1" thickBot="1">
      <c r="A4" s="72" t="s">
        <v>33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4"/>
    </row>
    <row r="5" spans="1:18" ht="13.5" thickBot="1">
      <c r="N5" s="26"/>
      <c r="O5" s="25"/>
      <c r="P5" s="25"/>
      <c r="Q5" s="25"/>
    </row>
    <row r="6" spans="1:18" s="5" customFormat="1" ht="39.75" customHeight="1">
      <c r="A6" s="40" t="s">
        <v>32</v>
      </c>
      <c r="B6" s="28"/>
      <c r="C6" s="41" t="s">
        <v>0</v>
      </c>
      <c r="D6" s="42" t="s">
        <v>31</v>
      </c>
      <c r="E6" s="42" t="s">
        <v>20</v>
      </c>
      <c r="F6" s="42" t="s">
        <v>19</v>
      </c>
      <c r="G6" s="43" t="s">
        <v>10</v>
      </c>
      <c r="H6" s="42" t="s">
        <v>21</v>
      </c>
      <c r="I6" s="43" t="s">
        <v>1</v>
      </c>
      <c r="J6" s="43" t="s">
        <v>12</v>
      </c>
      <c r="K6" s="43" t="s">
        <v>2</v>
      </c>
      <c r="L6" s="44" t="s">
        <v>11</v>
      </c>
      <c r="M6" s="69" t="s">
        <v>34</v>
      </c>
      <c r="N6" s="68" t="s">
        <v>35</v>
      </c>
      <c r="O6" s="68" t="s">
        <v>36</v>
      </c>
      <c r="P6" s="68" t="s">
        <v>37</v>
      </c>
      <c r="Q6" s="68" t="s">
        <v>38</v>
      </c>
    </row>
    <row r="7" spans="1:18" ht="26.25" customHeight="1" thickBot="1">
      <c r="A7" s="18"/>
      <c r="B7" s="29"/>
      <c r="C7" s="19">
        <v>22226.89</v>
      </c>
      <c r="D7" s="19">
        <v>265.85000000000002</v>
      </c>
      <c r="E7" s="19">
        <v>1000</v>
      </c>
      <c r="F7" s="20">
        <v>36</v>
      </c>
      <c r="G7" s="21">
        <f>D7+E7/F7</f>
        <v>293.62777777777779</v>
      </c>
      <c r="H7" s="21">
        <f>G7*F7</f>
        <v>10570.6</v>
      </c>
      <c r="I7" s="19">
        <v>0</v>
      </c>
      <c r="J7" s="21">
        <f>H7-I7</f>
        <v>10570.6</v>
      </c>
      <c r="K7" s="21">
        <f>J7/F7</f>
        <v>293.62777777777779</v>
      </c>
      <c r="L7" s="71">
        <v>9.1</v>
      </c>
      <c r="M7" s="70">
        <v>25000</v>
      </c>
      <c r="N7" s="27">
        <v>25000</v>
      </c>
      <c r="O7" s="27">
        <v>25000</v>
      </c>
      <c r="P7" s="27">
        <v>25000</v>
      </c>
      <c r="Q7" s="27">
        <v>25000</v>
      </c>
      <c r="R7" s="25"/>
    </row>
    <row r="8" spans="1:18"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2"/>
      <c r="O8" s="1"/>
      <c r="P8" s="1"/>
    </row>
    <row r="9" spans="1:18" ht="13.5" thickBot="1"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8" s="5" customFormat="1" ht="52.5" customHeight="1">
      <c r="A10" s="14" t="s">
        <v>5</v>
      </c>
      <c r="B10" s="45" t="s">
        <v>22</v>
      </c>
      <c r="C10" s="46" t="s">
        <v>23</v>
      </c>
      <c r="D10" s="47" t="s">
        <v>9</v>
      </c>
      <c r="E10" s="46" t="s">
        <v>24</v>
      </c>
      <c r="F10" s="48" t="s">
        <v>3</v>
      </c>
      <c r="G10" s="47" t="s">
        <v>4</v>
      </c>
      <c r="H10" s="49" t="s">
        <v>25</v>
      </c>
      <c r="I10" s="49" t="s">
        <v>30</v>
      </c>
      <c r="J10" s="48" t="s">
        <v>6</v>
      </c>
      <c r="K10" s="47" t="s">
        <v>14</v>
      </c>
      <c r="L10" s="50" t="s">
        <v>7</v>
      </c>
      <c r="M10" s="51" t="s">
        <v>8</v>
      </c>
      <c r="N10" s="52" t="s">
        <v>16</v>
      </c>
      <c r="O10" s="53" t="s">
        <v>17</v>
      </c>
      <c r="P10" s="22" t="s">
        <v>18</v>
      </c>
      <c r="Q10" s="15" t="s">
        <v>13</v>
      </c>
    </row>
    <row r="11" spans="1:18" ht="26.25" customHeight="1">
      <c r="A11" s="37">
        <v>2016</v>
      </c>
      <c r="B11" s="35">
        <v>1.04</v>
      </c>
      <c r="C11" s="3">
        <f>$M$7/100*$L$7*P11/12*Q11</f>
        <v>1656.8627450980396</v>
      </c>
      <c r="D11" s="32">
        <f>$E$20*Q11</f>
        <v>521.79999999999995</v>
      </c>
      <c r="E11" s="4">
        <v>0</v>
      </c>
      <c r="F11" s="32">
        <f>$C$20/12*Q11</f>
        <v>295.83333333333331</v>
      </c>
      <c r="G11" s="32">
        <f>$D$20/12*Q11</f>
        <v>291.66666666666669</v>
      </c>
      <c r="H11" s="4">
        <v>250</v>
      </c>
      <c r="I11" s="4">
        <v>1120</v>
      </c>
      <c r="J11" s="32">
        <f>$F$20/12*Q11</f>
        <v>500.16666666666674</v>
      </c>
      <c r="K11" s="3">
        <f>SUM(C11:J11)</f>
        <v>4636.3294117647065</v>
      </c>
      <c r="L11" s="3">
        <f>$K11+$H$7/$F$7*$Q11</f>
        <v>7572.6071895424848</v>
      </c>
      <c r="M11" s="6">
        <f>$K11+$J$7/$F$7*$Q11</f>
        <v>7572.6071895424848</v>
      </c>
      <c r="N11" s="23">
        <f>L11/($M$7/12*Q11)</f>
        <v>0.36348514509803925</v>
      </c>
      <c r="O11" s="24">
        <f>M11/($M$7/12*Q11)</f>
        <v>0.36348514509803925</v>
      </c>
      <c r="P11" s="34">
        <f>+B11/1.19</f>
        <v>0.87394957983193289</v>
      </c>
      <c r="Q11" s="16">
        <v>10</v>
      </c>
    </row>
    <row r="12" spans="1:18" ht="26.25" customHeight="1">
      <c r="A12" s="38">
        <v>2017</v>
      </c>
      <c r="B12" s="36">
        <v>1.1000000000000001</v>
      </c>
      <c r="C12" s="3">
        <f>$N$7/100*$L$7*P12/12*Q12</f>
        <v>2102.9411764705887</v>
      </c>
      <c r="D12" s="32">
        <f>$E$20*Q12</f>
        <v>626.16</v>
      </c>
      <c r="E12" s="4">
        <v>0</v>
      </c>
      <c r="F12" s="32">
        <f>$C$20/12*Q12</f>
        <v>355</v>
      </c>
      <c r="G12" s="32">
        <f>$D$20/12*Q12</f>
        <v>350</v>
      </c>
      <c r="H12" s="4">
        <v>500</v>
      </c>
      <c r="I12" s="4">
        <v>120</v>
      </c>
      <c r="J12" s="32">
        <f>$F$20/12*Q12</f>
        <v>600.20000000000005</v>
      </c>
      <c r="K12" s="3">
        <f>SUM(C12:J12)</f>
        <v>4654.3011764705889</v>
      </c>
      <c r="L12" s="3">
        <f>$K12+$H$7/$F$7*$Q12</f>
        <v>8177.8345098039226</v>
      </c>
      <c r="M12" s="6">
        <f>$K12+$J$7/$F$7*$Q12</f>
        <v>8177.8345098039226</v>
      </c>
      <c r="N12" s="23">
        <f>L12/($M$7/12*Q12)</f>
        <v>0.32711338039215693</v>
      </c>
      <c r="O12" s="24">
        <f>M12/($M$7/12*Q12)</f>
        <v>0.32711338039215693</v>
      </c>
      <c r="P12" s="34">
        <f>+B12/1.19</f>
        <v>0.92436974789915982</v>
      </c>
      <c r="Q12" s="16">
        <v>12</v>
      </c>
    </row>
    <row r="13" spans="1:18" ht="26.25" customHeight="1">
      <c r="A13" s="38">
        <v>2018</v>
      </c>
      <c r="B13" s="36">
        <v>1.1599999999999999</v>
      </c>
      <c r="C13" s="3">
        <f>$O$7/100*$L$7*P13/12*Q13</f>
        <v>2217.6470588235293</v>
      </c>
      <c r="D13" s="32">
        <f>$E$20*Q13</f>
        <v>626.16</v>
      </c>
      <c r="E13" s="4">
        <v>150</v>
      </c>
      <c r="F13" s="32">
        <f>$C$20/12*Q13</f>
        <v>355</v>
      </c>
      <c r="G13" s="32">
        <f>$D$20/12*Q13</f>
        <v>350</v>
      </c>
      <c r="H13" s="4">
        <v>750</v>
      </c>
      <c r="I13" s="4">
        <v>120</v>
      </c>
      <c r="J13" s="32">
        <f>$F$20/12*Q13</f>
        <v>600.20000000000005</v>
      </c>
      <c r="K13" s="3">
        <f>SUM(C13:J13)</f>
        <v>5169.0070588235294</v>
      </c>
      <c r="L13" s="3">
        <f>$K13+$H$7/$F$7*$Q13</f>
        <v>8692.5403921568632</v>
      </c>
      <c r="M13" s="6">
        <f>$K13+$J$7/$F$7*$Q13</f>
        <v>8692.5403921568632</v>
      </c>
      <c r="N13" s="23">
        <f>L13/($M$7/12*Q13)</f>
        <v>0.3477016156862745</v>
      </c>
      <c r="O13" s="24">
        <f>M13/($M$7/12*Q13)</f>
        <v>0.3477016156862745</v>
      </c>
      <c r="P13" s="34">
        <f>+B13/1.19</f>
        <v>0.97478991596638653</v>
      </c>
      <c r="Q13" s="16">
        <v>12</v>
      </c>
    </row>
    <row r="14" spans="1:18" ht="26.25" customHeight="1">
      <c r="A14" s="38">
        <v>2019</v>
      </c>
      <c r="B14" s="36">
        <v>1.25</v>
      </c>
      <c r="C14" s="3">
        <f>$P$7/100*$L$7*P14/12*Q14</f>
        <v>398.28431372549022</v>
      </c>
      <c r="D14" s="32">
        <f>$E$20*Q14</f>
        <v>104.36</v>
      </c>
      <c r="E14" s="4">
        <v>0</v>
      </c>
      <c r="F14" s="32">
        <f>$C$20/12*Q14</f>
        <v>59.166666666666664</v>
      </c>
      <c r="G14" s="32">
        <f>$D$20/12*Q14</f>
        <v>58.333333333333336</v>
      </c>
      <c r="H14" s="4">
        <v>100</v>
      </c>
      <c r="I14" s="4">
        <v>320</v>
      </c>
      <c r="J14" s="32">
        <f>$F$20/12*Q14</f>
        <v>100.03333333333335</v>
      </c>
      <c r="K14" s="3">
        <f>SUM(C14:J14)</f>
        <v>1140.1776470588236</v>
      </c>
      <c r="L14" s="3">
        <f>$K14+$H$7/$F$7*$Q14</f>
        <v>1727.4332026143793</v>
      </c>
      <c r="M14" s="6">
        <f>$K14+$J$7/$F$7*$Q14</f>
        <v>1727.4332026143793</v>
      </c>
      <c r="N14" s="23">
        <f>L14/($M$7/12*Q14)</f>
        <v>0.414583968627451</v>
      </c>
      <c r="O14" s="24">
        <f>M14/($M$7/12*Q14)</f>
        <v>0.414583968627451</v>
      </c>
      <c r="P14" s="34">
        <f>+B14/1.19</f>
        <v>1.0504201680672269</v>
      </c>
      <c r="Q14" s="16">
        <v>2</v>
      </c>
    </row>
    <row r="15" spans="1:18" ht="26.25" customHeight="1" thickBot="1">
      <c r="A15" s="67">
        <v>2020</v>
      </c>
      <c r="B15" s="39">
        <v>1.35</v>
      </c>
      <c r="C15" s="3">
        <f>$Q$7/100*$L$7*P15/12*Q15</f>
        <v>0</v>
      </c>
      <c r="D15" s="32">
        <f>$E$20*Q15</f>
        <v>0</v>
      </c>
      <c r="E15" s="8">
        <v>0</v>
      </c>
      <c r="F15" s="33">
        <v>0</v>
      </c>
      <c r="G15" s="33">
        <v>0</v>
      </c>
      <c r="H15" s="8">
        <v>0</v>
      </c>
      <c r="I15" s="8">
        <v>0</v>
      </c>
      <c r="J15" s="32">
        <f>$F$20/12*Q15</f>
        <v>0</v>
      </c>
      <c r="K15" s="7">
        <f>SUM(C15:J15)</f>
        <v>0</v>
      </c>
      <c r="L15" s="7">
        <f>$K15+$H$7/$F$7*$Q15</f>
        <v>0</v>
      </c>
      <c r="M15" s="9">
        <f>$K15+$J$7/$F$7*$Q15</f>
        <v>0</v>
      </c>
      <c r="N15" s="23"/>
      <c r="O15" s="24"/>
      <c r="P15" s="34">
        <f>+B15/1.19</f>
        <v>1.1344537815126052</v>
      </c>
      <c r="Q15" s="17">
        <v>0</v>
      </c>
    </row>
    <row r="16" spans="1:18" ht="30" customHeight="1" thickBot="1">
      <c r="A16" s="13" t="s">
        <v>15</v>
      </c>
      <c r="B16" s="31"/>
      <c r="C16" s="10">
        <f t="shared" ref="C16:K16" si="0">SUM(C11:C15)</f>
        <v>6375.7352941176478</v>
      </c>
      <c r="D16" s="10">
        <f t="shared" si="0"/>
        <v>1878.4799999999998</v>
      </c>
      <c r="E16" s="10">
        <f t="shared" si="0"/>
        <v>150</v>
      </c>
      <c r="F16" s="10">
        <f t="shared" si="0"/>
        <v>1065</v>
      </c>
      <c r="G16" s="10">
        <f t="shared" si="0"/>
        <v>1050</v>
      </c>
      <c r="H16" s="10">
        <f t="shared" si="0"/>
        <v>1600</v>
      </c>
      <c r="I16" s="10">
        <f t="shared" si="0"/>
        <v>1680</v>
      </c>
      <c r="J16" s="10">
        <f t="shared" si="0"/>
        <v>1800.6000000000001</v>
      </c>
      <c r="K16" s="10">
        <f t="shared" si="0"/>
        <v>15599.815294117649</v>
      </c>
      <c r="L16" s="10">
        <f>SUM(L11:L14)</f>
        <v>26170.415294117647</v>
      </c>
      <c r="M16" s="11">
        <f>SUM(M11:M15)</f>
        <v>26170.415294117647</v>
      </c>
      <c r="N16" s="54">
        <f>((N11*$Q$11)+(N12*$Q$12)+(N13*$Q$13)+(N14*$Q$14)+(N15*$Q$15))/$Q$16</f>
        <v>0.34893887058823531</v>
      </c>
      <c r="O16" s="56">
        <f>((O11*$Q$11)+(O12*$Q$12)+(O13*$Q$13)+(O14*$Q$14)+(O15*$Q$15))/$Q$16</f>
        <v>0.34893887058823531</v>
      </c>
      <c r="P16" s="55"/>
      <c r="Q16" s="12">
        <f>SUM(Q11:Q15)</f>
        <v>36</v>
      </c>
    </row>
    <row r="17" spans="1:1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>
      <c r="A18" s="30" t="s">
        <v>39</v>
      </c>
      <c r="B18" s="30"/>
      <c r="C18" s="1"/>
      <c r="D18" s="1"/>
      <c r="E18" s="1"/>
      <c r="F18" s="1"/>
      <c r="G18" s="63"/>
      <c r="H18" s="1"/>
      <c r="I18" s="1"/>
      <c r="J18" s="1"/>
      <c r="K18" s="1"/>
      <c r="L18" s="1"/>
      <c r="M18" s="1"/>
      <c r="N18" s="1"/>
      <c r="O18" s="1"/>
    </row>
    <row r="19" spans="1:16" ht="20.25" customHeight="1">
      <c r="A19" s="1"/>
      <c r="B19" s="1"/>
      <c r="C19" s="61" t="s">
        <v>27</v>
      </c>
      <c r="D19" s="61" t="s">
        <v>28</v>
      </c>
      <c r="E19" s="61" t="s">
        <v>29</v>
      </c>
      <c r="F19" s="58" t="s">
        <v>6</v>
      </c>
      <c r="G19" s="66"/>
      <c r="H19" s="1"/>
      <c r="I19" s="1"/>
      <c r="J19" s="1"/>
      <c r="K19" s="1"/>
      <c r="L19" s="1"/>
      <c r="M19" s="1"/>
      <c r="N19" s="1"/>
      <c r="O19" s="1"/>
    </row>
    <row r="20" spans="1:16" ht="18" customHeight="1">
      <c r="A20" s="59" t="s">
        <v>26</v>
      </c>
      <c r="B20" s="60"/>
      <c r="C20" s="62">
        <v>355</v>
      </c>
      <c r="D20" s="62">
        <v>350</v>
      </c>
      <c r="E20" s="62">
        <v>52.18</v>
      </c>
      <c r="F20" s="57">
        <v>600.20000000000005</v>
      </c>
      <c r="G20" s="65"/>
      <c r="H20" s="64"/>
      <c r="I20" s="1"/>
      <c r="J20" s="1"/>
      <c r="K20" s="1"/>
      <c r="L20" s="1"/>
      <c r="M20" s="1"/>
      <c r="N20" s="1"/>
      <c r="O20" s="1"/>
    </row>
    <row r="21" spans="1:1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30"/>
      <c r="M24" s="1"/>
      <c r="N24" s="1"/>
      <c r="O24" s="1"/>
    </row>
    <row r="25" spans="1:1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9" spans="1:16">
      <c r="I29" s="1"/>
      <c r="J29" s="1"/>
      <c r="K29" s="1"/>
      <c r="L29" s="1"/>
    </row>
    <row r="30" spans="1:16">
      <c r="I30" s="1"/>
      <c r="J30" s="1"/>
      <c r="K30" s="1"/>
      <c r="L30" s="1"/>
    </row>
  </sheetData>
  <mergeCells count="4">
    <mergeCell ref="A4:Q4"/>
    <mergeCell ref="A2:Q2"/>
    <mergeCell ref="A1:F1"/>
    <mergeCell ref="H1:Q1"/>
  </mergeCells>
  <phoneticPr fontId="2" type="noConversion"/>
  <pageMargins left="0.78740157480314965" right="0.78740157480314965" top="0.98425196850393704" bottom="0.98425196850393704" header="0.51181102362204722" footer="0.51181102362204722"/>
  <pageSetup paperSize="8" scale="74" orientation="landscape" r:id="rId1"/>
  <headerFooter alignWithMargins="0">
    <oddFooter>&amp;L&amp;F&amp;A&amp;C&amp;D
A. Kolk&amp;R&amp;P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UMF</vt:lpstr>
    </vt:vector>
  </TitlesOfParts>
  <Company>Behindertenhilfe Wetteraukreis gGmbH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Kolk</dc:creator>
  <cp:lastModifiedBy>Velten, Clemens</cp:lastModifiedBy>
  <cp:lastPrinted>2016-01-28T20:47:07Z</cp:lastPrinted>
  <dcterms:created xsi:type="dcterms:W3CDTF">2014-02-12T07:44:04Z</dcterms:created>
  <dcterms:modified xsi:type="dcterms:W3CDTF">2016-03-24T14:22:30Z</dcterms:modified>
</cp:coreProperties>
</file>